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<sst xmlns="http://schemas.openxmlformats.org/spreadsheetml/2006/main" count="159" uniqueCount="113">
  <si>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</si>
  <si>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</si>
  <si>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</si>
  <si>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</si>
  <si>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</si>
  <si>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</si>
  <si>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</si>
  <si>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</si>
  <si>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</si>
  <si>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</si>
  <si>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</si>
  <si>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</si>
  <si>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</si>
  <si>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</si>
  <si>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</si>
  <si>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</si>
  <si>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</si>
  <si>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</si>
  <si>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</si>
  <si>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</si>
  <si>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</si>
  <si>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</si>
  <si>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</si>
  <si>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</si>
  <si>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</si>
  <si>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</si>
  <si>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</si>
  <si>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</si>
  <si>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</si>
  <si>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</si>
  <si>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</si>
  <si>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</si>
  <si>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</si>
  <si>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</si>
  <si>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</si>
  <si>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</si>
  <si>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</si>
  <si>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</si>
  <si>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</si>
  <si>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</si>
  <si>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</si>
  <si>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</si>
  <si>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</si>
  <si>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</si>
  <si>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</si>
  <si>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</si>
  <si>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</si>
  <si>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</si>
  <si>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</si>
  <si>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</si>
  <si>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</si>
  <si>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</si>
  <si>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</si>
  <si>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</si>
  <si>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</si>
  <si>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</si>
  <si>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</si>
  <si>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</si>
  <si>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</si>
  <si>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</si>
  <si>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</si>
  <si>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</si>
  <si>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</si>
  <si>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</si>
  <si>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</si>
  <si>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</si>
  <si>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</si>
  <si>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</si>
  <si>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</si>
  <si>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</si>
  <si>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</si>
  <si>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</si>
  <si>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</si>
  <si>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</si>
  <si>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</si>
  <si>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</si>
  <si>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</si>
  <si>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</si>
  <si>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</si>
  <si>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</si>
  <si>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</si>
  <si>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</si>
  <si>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</si>
  <si>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</si>
  <si>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</si>
  <si>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</si>
  <si>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</si>
  <si>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</si>
  <si>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</si>
  <si>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</si>
  <si>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</si>
  <si>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</si>
  <si>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</si>
  <si>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</si>
  <si>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</si>
  <si>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</si>
  <si>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</si>
  <si>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</si>
  <si>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</si>
  <si>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</si>
  <si>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</si>
  <si>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</si>
  <si>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</si>
  <si>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</si>
  <si>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</si>
  <si>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</si>
  <si>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</si>
  <si>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тимчасового плану на 1 півряччя, тис.грн.</t>
  </si>
  <si>
    <t>Реверсна дотація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</si>
  <si>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</si>
  <si>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</si>
  <si>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</si>
  <si>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2015 рік станом на 18.02.2015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</si>
</sst>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3139.2999999999997</c:v>
                </c:pt>
                <c:pt idx="1">
                  <c:v>2761.9</c:v>
                </c:pt>
                <c:pt idx="2">
                  <c:v>16</c:v>
                </c:pt>
                <c:pt idx="3">
                  <c:v>361.39999999999964</c:v>
                </c:pt>
              </c:numCache>
            </c:numRef>
          </c:val>
          <c:shape val="box"/>
        </c:ser>
        <c:shape val="box"/>
        <c:axId val="13745153"/>
        <c:axId val="56597514"/>
      </c:bar3D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21555.9</c:v>
                </c:pt>
                <c:pt idx="1">
                  <c:v>19172.7</c:v>
                </c:pt>
                <c:pt idx="3">
                  <c:v>1219.3</c:v>
                </c:pt>
                <c:pt idx="4">
                  <c:v>1111.8</c:v>
                </c:pt>
                <c:pt idx="5">
                  <c:v>3.8</c:v>
                </c:pt>
                <c:pt idx="6">
                  <c:v>48.30000000000082</c:v>
                </c:pt>
              </c:numCache>
            </c:numRef>
          </c:val>
          <c:shape val="box"/>
        </c:ser>
        <c:shape val="box"/>
        <c:axId val="39615579"/>
        <c:axId val="20995892"/>
      </c:bar3D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13526.2</c:v>
                </c:pt>
                <c:pt idx="1">
                  <c:v>12327</c:v>
                </c:pt>
                <c:pt idx="2">
                  <c:v>11</c:v>
                </c:pt>
                <c:pt idx="3">
                  <c:v>192.9</c:v>
                </c:pt>
                <c:pt idx="4">
                  <c:v>270.8</c:v>
                </c:pt>
                <c:pt idx="5">
                  <c:v>111</c:v>
                </c:pt>
                <c:pt idx="6">
                  <c:v>613.5000000000007</c:v>
                </c:pt>
              </c:numCache>
            </c:numRef>
          </c:val>
          <c:shape val="box"/>
        </c:ser>
        <c:shape val="box"/>
        <c:axId val="54745301"/>
        <c:axId val="22945662"/>
      </c:bar3D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3269.9999999999995</c:v>
                </c:pt>
                <c:pt idx="1">
                  <c:v>2280.7000000000003</c:v>
                </c:pt>
                <c:pt idx="2">
                  <c:v>43.900000000000006</c:v>
                </c:pt>
                <c:pt idx="3">
                  <c:v>43.300000000000004</c:v>
                </c:pt>
                <c:pt idx="4">
                  <c:v>3.4</c:v>
                </c:pt>
                <c:pt idx="5">
                  <c:v>898.6999999999994</c:v>
                </c:pt>
              </c:numCache>
            </c:numRef>
          </c:val>
          <c:shape val="box"/>
        </c:ser>
        <c:shape val="box"/>
        <c:axId val="5184367"/>
        <c:axId val="46659304"/>
      </c:bar3D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901.5000000000001</c:v>
                </c:pt>
                <c:pt idx="1">
                  <c:v>650.6999999999999</c:v>
                </c:pt>
                <c:pt idx="3">
                  <c:v>8.7</c:v>
                </c:pt>
                <c:pt idx="4">
                  <c:v>242.1000000000002</c:v>
                </c:pt>
              </c:numCache>
            </c:numRef>
          </c:val>
          <c:shape val="box"/>
        </c:ser>
        <c:shape val="box"/>
        <c:axId val="17280553"/>
        <c:axId val="21307250"/>
      </c:bar3D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7250"/>
        <c:crosses val="autoZero"/>
        <c:auto val="1"/>
        <c:lblOffset val="100"/>
        <c:tickLblSkip val="2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109.89999999999999</c:v>
                </c:pt>
                <c:pt idx="1">
                  <c:v>101.69999999999999</c:v>
                </c:pt>
                <c:pt idx="3">
                  <c:v>1.3</c:v>
                </c:pt>
                <c:pt idx="5">
                  <c:v>6.900000000000003</c:v>
                </c:pt>
              </c:numCache>
            </c:numRef>
          </c:val>
          <c:shape val="box"/>
        </c:ser>
        <c:shape val="box"/>
        <c:axId val="57547523"/>
        <c:axId val="48165660"/>
      </c:bar3D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4646.799999999999</c:v>
                </c:pt>
              </c:numCache>
            </c:numRef>
          </c:val>
          <c:shape val="box"/>
        </c:ser>
        <c:shape val="box"/>
        <c:axId val="30837757"/>
        <c:axId val="9104358"/>
      </c:bar3D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21555.9</c:v>
                </c:pt>
                <c:pt idx="1">
                  <c:v>13526.2</c:v>
                </c:pt>
                <c:pt idx="2">
                  <c:v>3269.9999999999995</c:v>
                </c:pt>
                <c:pt idx="3">
                  <c:v>901.5000000000001</c:v>
                </c:pt>
                <c:pt idx="4">
                  <c:v>109.89999999999999</c:v>
                </c:pt>
                <c:pt idx="5">
                  <c:v>3139.2999999999997</c:v>
                </c:pt>
                <c:pt idx="6">
                  <c:v>4646.799999999999</c:v>
                </c:pt>
              </c:numCache>
            </c:numRef>
          </c:val>
          <c:shape val="box"/>
        </c:ser>
        <c:shape val="box"/>
        <c:axId val="14830359"/>
        <c:axId val="66364368"/>
      </c:bar3D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37796.5</c:v>
                </c:pt>
                <c:pt idx="1">
                  <c:v>1457.2</c:v>
                </c:pt>
                <c:pt idx="2">
                  <c:v>1412.2</c:v>
                </c:pt>
                <c:pt idx="3">
                  <c:v>375.4</c:v>
                </c:pt>
                <c:pt idx="4">
                  <c:v>11</c:v>
                </c:pt>
                <c:pt idx="5">
                  <c:v>8816.600000000008</c:v>
                </c:pt>
              </c:numCache>
            </c:numRef>
          </c:val>
          <c:shape val="box"/>
        </c:ser>
        <c:shape val="box"/>
        <c:axId val="60408401"/>
        <c:axId val="6804698"/>
      </c:bar3D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112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109</v>
      </c>
      <c r="C3" s="122" t="s">
        <v>105</v>
      </c>
      <c r="D3" s="122" t="s">
        <v>29</v>
      </c>
      <c r="E3" s="122" t="s">
        <v>28</v>
      </c>
      <c r="F3" s="122" t="s">
        <v>110</v>
      </c>
      <c r="G3" s="122" t="s">
        <v>106</v>
      </c>
      <c r="H3" s="122" t="s">
        <v>111</v>
      </c>
      <c r="I3" s="122" t="s">
        <v>107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48868</v>
      </c>
      <c r="C6" s="53">
        <v>146604.2</v>
      </c>
      <c r="D6" s="54">
        <f>3778.8+318.6+74.4+4544.7+5310.3+2.2+304.5+4240.2+102.2+2722+99+59+395.4+13.7+14.4+157.5+8732.6+280+12.7</f>
        <v>31162.200000000008</v>
      </c>
      <c r="E6" s="3">
        <f>D6/D137*100</f>
        <v>41.26328780038242</v>
      </c>
      <c r="F6" s="3">
        <f>D6/B6*100</f>
        <v>63.768110010640925</v>
      </c>
      <c r="G6" s="3">
        <f aca="true" t="shared" si="0" ref="G6:G41">D6/C6*100</f>
        <v>21.25600767235864</v>
      </c>
      <c r="H6" s="3">
        <f>B6-D6</f>
        <v>17705.799999999992</v>
      </c>
      <c r="I6" s="3">
        <f aca="true" t="shared" si="1" ref="I6:I41">C6-D6</f>
        <v>115442</v>
      </c>
    </row>
    <row r="7" spans="1:9" ht="18">
      <c r="A7" s="29" t="s">
        <v>3</v>
      </c>
      <c r="B7" s="49">
        <v>40232.9</v>
      </c>
      <c r="C7" s="50">
        <f>120690.6-38.1</f>
        <v>120652.5</v>
      </c>
      <c r="D7" s="51">
        <f>2656.8+4544.7+5310.3+304.5+4240.2+2115.7+0.5+13.7+8260.2</f>
        <v>27446.600000000002</v>
      </c>
      <c r="E7" s="1">
        <f>D7/D6*100</f>
        <v>88.07657995905294</v>
      </c>
      <c r="F7" s="1">
        <f>D7/B7*100</f>
        <v>68.21929316554363</v>
      </c>
      <c r="G7" s="1">
        <f t="shared" si="0"/>
        <v>22.74847185097698</v>
      </c>
      <c r="H7" s="1">
        <f>B7-D7</f>
        <v>12786.3</v>
      </c>
      <c r="I7" s="1">
        <f t="shared" si="1"/>
        <v>93205.9</v>
      </c>
    </row>
    <row r="8" spans="1:9" ht="18">
      <c r="A8" s="29" t="s">
        <v>2</v>
      </c>
      <c r="B8" s="49">
        <v>0.6</v>
      </c>
      <c r="C8" s="50">
        <f>6.2-2</f>
        <v>4.2</v>
      </c>
      <c r="D8" s="51"/>
      <c r="E8" s="12">
        <f>D8/D6*100</f>
        <v>0</v>
      </c>
      <c r="F8" s="118">
        <f>D8/B8*100</f>
        <v>0</v>
      </c>
      <c r="G8" s="1">
        <f t="shared" si="0"/>
        <v>0</v>
      </c>
      <c r="H8" s="1">
        <f aca="true" t="shared" si="2" ref="H8:H41">B8-D8</f>
        <v>0.6</v>
      </c>
      <c r="I8" s="1">
        <f t="shared" si="1"/>
        <v>4.2</v>
      </c>
    </row>
    <row r="9" spans="1:9" ht="18">
      <c r="A9" s="29" t="s">
        <v>1</v>
      </c>
      <c r="B9" s="49">
        <v>3499.4</v>
      </c>
      <c r="C9" s="50">
        <v>10417.9</v>
      </c>
      <c r="D9" s="55">
        <f>391.1+295.4+72.7+84.3+268.2+68.6+39+308.5+154.7+328.1+203.3</f>
        <v>2213.9</v>
      </c>
      <c r="E9" s="1">
        <f>D9/D6*100</f>
        <v>7.104440636412061</v>
      </c>
      <c r="F9" s="1">
        <f aca="true" t="shared" si="3" ref="F9:F39">D9/B9*100</f>
        <v>63.26513116534264</v>
      </c>
      <c r="G9" s="1">
        <f t="shared" si="0"/>
        <v>21.250923890611354</v>
      </c>
      <c r="H9" s="1">
        <f t="shared" si="2"/>
        <v>1285.5</v>
      </c>
      <c r="I9" s="1">
        <f t="shared" si="1"/>
        <v>8204</v>
      </c>
    </row>
    <row r="10" spans="1:9" ht="18">
      <c r="A10" s="29" t="s">
        <v>0</v>
      </c>
      <c r="B10" s="49">
        <v>4985.3</v>
      </c>
      <c r="C10" s="50">
        <f>14766.4+34.5</f>
        <v>14800.9</v>
      </c>
      <c r="D10" s="56">
        <f>710.3+17.9+0.2+17+333.3+17.1+16+76.8+12.9+141.2+71</f>
        <v>1413.7</v>
      </c>
      <c r="E10" s="1">
        <f>D10/D6*100</f>
        <v>4.536585992003131</v>
      </c>
      <c r="F10" s="1">
        <f t="shared" si="3"/>
        <v>28.35737066976912</v>
      </c>
      <c r="G10" s="1">
        <f t="shared" si="0"/>
        <v>9.551446195839443</v>
      </c>
      <c r="H10" s="1">
        <f t="shared" si="2"/>
        <v>3571.6000000000004</v>
      </c>
      <c r="I10" s="1">
        <f t="shared" si="1"/>
        <v>13387.199999999999</v>
      </c>
    </row>
    <row r="11" spans="1:9" ht="18">
      <c r="A11" s="29" t="s">
        <v>15</v>
      </c>
      <c r="B11" s="49">
        <v>23.1</v>
      </c>
      <c r="C11" s="50">
        <f>230.6+3.6</f>
        <v>234.2</v>
      </c>
      <c r="D11" s="51">
        <f>3.8+3.8+12.7</f>
        <v>20.299999999999997</v>
      </c>
      <c r="E11" s="1">
        <f>D11/D6*100</f>
        <v>0.06514302584541526</v>
      </c>
      <c r="F11" s="1">
        <f t="shared" si="3"/>
        <v>87.87878787878786</v>
      </c>
      <c r="G11" s="1">
        <f t="shared" si="0"/>
        <v>8.667805294619981</v>
      </c>
      <c r="H11" s="1">
        <f t="shared" si="2"/>
        <v>2.8000000000000043</v>
      </c>
      <c r="I11" s="1">
        <f t="shared" si="1"/>
        <v>213.89999999999998</v>
      </c>
    </row>
    <row r="12" spans="1:9" ht="18.75" thickBot="1">
      <c r="A12" s="29" t="s">
        <v>35</v>
      </c>
      <c r="B12" s="50">
        <f>B6-B7-B8-B9-B10-B11</f>
        <v>126.69999999999837</v>
      </c>
      <c r="C12" s="50">
        <f>C6-C7-C8-C9-C10-C11</f>
        <v>494.50000000001165</v>
      </c>
      <c r="D12" s="50">
        <f>D6-D7-D8-D9-D10-D11</f>
        <v>67.70000000000569</v>
      </c>
      <c r="E12" s="1">
        <f>D12/D6*100</f>
        <v>0.21725038668645238</v>
      </c>
      <c r="F12" s="1">
        <f t="shared" si="3"/>
        <v>53.43330702447242</v>
      </c>
      <c r="G12" s="1">
        <f t="shared" si="0"/>
        <v>13.69059656218485</v>
      </c>
      <c r="H12" s="1">
        <f t="shared" si="2"/>
        <v>58.99999999999268</v>
      </c>
      <c r="I12" s="1">
        <f t="shared" si="1"/>
        <v>426.800000000006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33405.6</v>
      </c>
      <c r="C17" s="53">
        <v>100216.8</v>
      </c>
      <c r="D17" s="54">
        <f>5164.3+574.5+4623.4+2805.2+358.8+626.5+552.8+632.3+5118.8+101.4+166.3</f>
        <v>20724.3</v>
      </c>
      <c r="E17" s="3">
        <f>D17/D137*100</f>
        <v>27.441989184379317</v>
      </c>
      <c r="F17" s="3">
        <f>D17/B17*100</f>
        <v>62.03840074718011</v>
      </c>
      <c r="G17" s="3">
        <f t="shared" si="0"/>
        <v>20.679466915726703</v>
      </c>
      <c r="H17" s="3">
        <f>B17-D17</f>
        <v>12681.3</v>
      </c>
      <c r="I17" s="3">
        <f t="shared" si="1"/>
        <v>79492.5</v>
      </c>
    </row>
    <row r="18" spans="1:9" ht="18">
      <c r="A18" s="29" t="s">
        <v>5</v>
      </c>
      <c r="B18" s="49">
        <v>27006.2</v>
      </c>
      <c r="C18" s="50">
        <v>81463.5</v>
      </c>
      <c r="D18" s="51">
        <f>5164.3+574.5+4352.6-225.6+2461.2+632.3+5026.9</f>
        <v>17986.199999999997</v>
      </c>
      <c r="E18" s="1">
        <f>D18/D17*100</f>
        <v>86.7879735383101</v>
      </c>
      <c r="F18" s="1">
        <f t="shared" si="3"/>
        <v>66.60026216202203</v>
      </c>
      <c r="G18" s="1">
        <f t="shared" si="0"/>
        <v>22.078845126958697</v>
      </c>
      <c r="H18" s="1">
        <f t="shared" si="2"/>
        <v>9020.000000000004</v>
      </c>
      <c r="I18" s="1">
        <f t="shared" si="1"/>
        <v>63477.3</v>
      </c>
    </row>
    <row r="19" spans="1:9" ht="18">
      <c r="A19" s="29" t="s">
        <v>2</v>
      </c>
      <c r="B19" s="49">
        <v>745.7</v>
      </c>
      <c r="C19" s="50">
        <v>2601.5</v>
      </c>
      <c r="D19" s="51">
        <f>11+1.8+42.7+3+47.6</f>
        <v>106.1</v>
      </c>
      <c r="E19" s="1">
        <f>D19/D17*100</f>
        <v>0.5119593906669948</v>
      </c>
      <c r="F19" s="1">
        <f t="shared" si="3"/>
        <v>14.228241920343299</v>
      </c>
      <c r="G19" s="1">
        <f t="shared" si="0"/>
        <v>4.078416298289448</v>
      </c>
      <c r="H19" s="1">
        <f t="shared" si="2"/>
        <v>639.6</v>
      </c>
      <c r="I19" s="1">
        <f t="shared" si="1"/>
        <v>2495.4</v>
      </c>
    </row>
    <row r="20" spans="1:9" ht="18">
      <c r="A20" s="29" t="s">
        <v>1</v>
      </c>
      <c r="B20" s="49">
        <v>404.2</v>
      </c>
      <c r="C20" s="50">
        <v>1299.6</v>
      </c>
      <c r="D20" s="51">
        <f>173.9+19+7.6+19.5</f>
        <v>220</v>
      </c>
      <c r="E20" s="1">
        <f>D20/D17*100</f>
        <v>1.0615557582162003</v>
      </c>
      <c r="F20" s="1">
        <f t="shared" si="3"/>
        <v>54.42850074220683</v>
      </c>
      <c r="G20" s="1">
        <f t="shared" si="0"/>
        <v>16.92828562634657</v>
      </c>
      <c r="H20" s="1">
        <f t="shared" si="2"/>
        <v>184.2</v>
      </c>
      <c r="I20" s="1">
        <f t="shared" si="1"/>
        <v>1079.6</v>
      </c>
    </row>
    <row r="21" spans="1:9" ht="18">
      <c r="A21" s="29" t="s">
        <v>0</v>
      </c>
      <c r="B21" s="49">
        <v>3247.8</v>
      </c>
      <c r="C21" s="50">
        <v>9124.4</v>
      </c>
      <c r="D21" s="51">
        <f>96.9+173.9+611.9+463.4+109.9</f>
        <v>1456</v>
      </c>
      <c r="E21" s="1">
        <f>D21/D17*100</f>
        <v>7.025569018012671</v>
      </c>
      <c r="F21" s="1">
        <f t="shared" si="3"/>
        <v>44.830346696225135</v>
      </c>
      <c r="G21" s="1">
        <f t="shared" si="0"/>
        <v>15.957213625005481</v>
      </c>
      <c r="H21" s="1">
        <f t="shared" si="2"/>
        <v>1791.8000000000002</v>
      </c>
      <c r="I21" s="1">
        <f t="shared" si="1"/>
        <v>7668.4</v>
      </c>
    </row>
    <row r="22" spans="1:9" ht="18">
      <c r="A22" s="29" t="s">
        <v>15</v>
      </c>
      <c r="B22" s="49">
        <v>230.4</v>
      </c>
      <c r="C22" s="50">
        <v>690.8</v>
      </c>
      <c r="D22" s="51">
        <f>111</f>
        <v>111</v>
      </c>
      <c r="E22" s="1">
        <f>D22/D17*100</f>
        <v>0.5356031325545374</v>
      </c>
      <c r="F22" s="1">
        <f t="shared" si="3"/>
        <v>48.17708333333333</v>
      </c>
      <c r="G22" s="1">
        <f t="shared" si="0"/>
        <v>16.06832657788072</v>
      </c>
      <c r="H22" s="1">
        <f t="shared" si="2"/>
        <v>119.4</v>
      </c>
      <c r="I22" s="1">
        <f t="shared" si="1"/>
        <v>579.8</v>
      </c>
    </row>
    <row r="23" spans="1:9" ht="18.75" thickBot="1">
      <c r="A23" s="29" t="s">
        <v>35</v>
      </c>
      <c r="B23" s="50">
        <f>B17-B18-B19-B20-B21-B22</f>
        <v>1771.299999999998</v>
      </c>
      <c r="C23" s="50">
        <f>C17-C18-C19-C20-C21-C22</f>
        <v>5037.000000000003</v>
      </c>
      <c r="D23" s="50">
        <f>D17-D18-D19-D20-D21-D22</f>
        <v>845.0000000000023</v>
      </c>
      <c r="E23" s="1">
        <f>D23/D17*100</f>
        <v>4.077339162239508</v>
      </c>
      <c r="F23" s="1">
        <f t="shared" si="3"/>
        <v>47.7050753683737</v>
      </c>
      <c r="G23" s="1">
        <f t="shared" si="0"/>
        <v>16.775858646019493</v>
      </c>
      <c r="H23" s="1">
        <f t="shared" si="2"/>
        <v>926.2999999999956</v>
      </c>
      <c r="I23" s="1">
        <f t="shared" si="1"/>
        <v>4192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6167</v>
      </c>
      <c r="C31" s="53">
        <v>18501.1</v>
      </c>
      <c r="D31" s="57">
        <f>1251.6+285.2+60+12.3+10.8+1064.6+3.2+0.1-0.1+22.2+396.9+163.2+73.2+1267+3.8</f>
        <v>4613.999999999999</v>
      </c>
      <c r="E31" s="3">
        <f>D31/D137*100</f>
        <v>6.109607470299413</v>
      </c>
      <c r="F31" s="3">
        <f>D31/B31*100</f>
        <v>74.8175774282471</v>
      </c>
      <c r="G31" s="3">
        <f t="shared" si="0"/>
        <v>24.939057677651597</v>
      </c>
      <c r="H31" s="3">
        <f t="shared" si="2"/>
        <v>1553.000000000001</v>
      </c>
      <c r="I31" s="3">
        <f t="shared" si="1"/>
        <v>13887.099999999999</v>
      </c>
    </row>
    <row r="32" spans="1:9" ht="18">
      <c r="A32" s="29" t="s">
        <v>3</v>
      </c>
      <c r="B32" s="49">
        <v>4561</v>
      </c>
      <c r="C32" s="50">
        <v>13995.2</v>
      </c>
      <c r="D32" s="51">
        <f>1216.2+1064.6-0.1+1185.2</f>
        <v>3465.9000000000005</v>
      </c>
      <c r="E32" s="1">
        <f>D32/D31*100</f>
        <v>75.11703511053318</v>
      </c>
      <c r="F32" s="1">
        <f t="shared" si="3"/>
        <v>75.98991449243589</v>
      </c>
      <c r="G32" s="1">
        <f t="shared" si="0"/>
        <v>24.764919400937465</v>
      </c>
      <c r="H32" s="1">
        <f t="shared" si="2"/>
        <v>1095.0999999999995</v>
      </c>
      <c r="I32" s="1">
        <f t="shared" si="1"/>
        <v>10529.3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450.7</v>
      </c>
      <c r="C34" s="50">
        <v>1028.8</v>
      </c>
      <c r="D34" s="51">
        <f>6.5+2.8+10.2+0.8+23.6+67.7+80.5+1.3</f>
        <v>193.40000000000003</v>
      </c>
      <c r="E34" s="1">
        <f>D34/D31*100</f>
        <v>4.191590810576508</v>
      </c>
      <c r="F34" s="1">
        <f t="shared" si="3"/>
        <v>42.91102729088086</v>
      </c>
      <c r="G34" s="1">
        <f t="shared" si="0"/>
        <v>18.798600311041994</v>
      </c>
      <c r="H34" s="1">
        <f t="shared" si="2"/>
        <v>257.29999999999995</v>
      </c>
      <c r="I34" s="1">
        <f t="shared" si="1"/>
        <v>835.3999999999999</v>
      </c>
    </row>
    <row r="35" spans="1:9" s="44" customFormat="1" ht="18.75">
      <c r="A35" s="23" t="s">
        <v>7</v>
      </c>
      <c r="B35" s="58">
        <v>72.7</v>
      </c>
      <c r="C35" s="59">
        <v>218.1</v>
      </c>
      <c r="D35" s="60">
        <f>19+12.3+0.1+11.9</f>
        <v>43.300000000000004</v>
      </c>
      <c r="E35" s="19">
        <f>D35/D31*100</f>
        <v>0.938448201127005</v>
      </c>
      <c r="F35" s="19">
        <f t="shared" si="3"/>
        <v>59.559834938101794</v>
      </c>
      <c r="G35" s="19">
        <f t="shared" si="0"/>
        <v>19.8532783127006</v>
      </c>
      <c r="H35" s="19">
        <f t="shared" si="2"/>
        <v>29.4</v>
      </c>
      <c r="I35" s="19">
        <f t="shared" si="1"/>
        <v>174.79999999999998</v>
      </c>
    </row>
    <row r="36" spans="1:9" ht="18">
      <c r="A36" s="29" t="s">
        <v>15</v>
      </c>
      <c r="B36" s="49">
        <v>6.8</v>
      </c>
      <c r="C36" s="50">
        <v>17</v>
      </c>
      <c r="D36" s="50">
        <f>3.4+3.4</f>
        <v>6.8</v>
      </c>
      <c r="E36" s="1">
        <f>D36/D31*100</f>
        <v>0.14737754659731256</v>
      </c>
      <c r="F36" s="1">
        <f t="shared" si="3"/>
        <v>100</v>
      </c>
      <c r="G36" s="1">
        <f t="shared" si="0"/>
        <v>40</v>
      </c>
      <c r="H36" s="1">
        <f t="shared" si="2"/>
        <v>0</v>
      </c>
      <c r="I36" s="1">
        <f t="shared" si="1"/>
        <v>10.2</v>
      </c>
    </row>
    <row r="37" spans="1:9" ht="18.75" thickBot="1">
      <c r="A37" s="29" t="s">
        <v>35</v>
      </c>
      <c r="B37" s="49">
        <f>B31-B32-B34-B35-B33-B36</f>
        <v>1075.8</v>
      </c>
      <c r="C37" s="49">
        <f>C31-C32-C34-C35-C33-C36</f>
        <v>3241.9999999999977</v>
      </c>
      <c r="D37" s="49">
        <f>D31-D32-D34-D35-D33-D36</f>
        <v>904.5999999999985</v>
      </c>
      <c r="E37" s="1">
        <f>D37/D31*100</f>
        <v>19.60554833116599</v>
      </c>
      <c r="F37" s="1">
        <f t="shared" si="3"/>
        <v>84.08626138687475</v>
      </c>
      <c r="G37" s="1">
        <f t="shared" si="0"/>
        <v>27.90252930289942</v>
      </c>
      <c r="H37" s="1">
        <f>B37-D37</f>
        <v>171.2000000000014</v>
      </c>
      <c r="I37" s="1">
        <f t="shared" si="1"/>
        <v>2337.399999999999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113.2</v>
      </c>
      <c r="C41" s="53">
        <v>339.7</v>
      </c>
      <c r="D41" s="54">
        <f>17.7+12.2</f>
        <v>29.9</v>
      </c>
      <c r="E41" s="3">
        <f>D41/D137*100</f>
        <v>0.03959195131381719</v>
      </c>
      <c r="F41" s="3">
        <f>D41/B41*100</f>
        <v>26.413427561837455</v>
      </c>
      <c r="G41" s="3">
        <f t="shared" si="0"/>
        <v>8.801884015307625</v>
      </c>
      <c r="H41" s="3">
        <f t="shared" si="2"/>
        <v>83.30000000000001</v>
      </c>
      <c r="I41" s="3">
        <f t="shared" si="1"/>
        <v>309.8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1017.5</v>
      </c>
      <c r="C43" s="53">
        <v>3052.6</v>
      </c>
      <c r="D43" s="54">
        <f>193+223+8.7+101.1+200.9</f>
        <v>726.6999999999999</v>
      </c>
      <c r="E43" s="3">
        <f>D43/D137*100</f>
        <v>0.9622565558445133</v>
      </c>
      <c r="F43" s="3">
        <f>D43/B43*100</f>
        <v>71.42014742014742</v>
      </c>
      <c r="G43" s="3">
        <f aca="true" t="shared" si="4" ref="G43:G73">D43/C43*100</f>
        <v>23.80593592347507</v>
      </c>
      <c r="H43" s="3">
        <f>B43-D43</f>
        <v>290.80000000000007</v>
      </c>
      <c r="I43" s="3">
        <f aca="true" t="shared" si="5" ref="I43:I74">C43-D43</f>
        <v>2325.9</v>
      </c>
    </row>
    <row r="44" spans="1:9" ht="18">
      <c r="A44" s="29" t="s">
        <v>3</v>
      </c>
      <c r="B44" s="49">
        <v>870.8</v>
      </c>
      <c r="C44" s="50">
        <v>2678.6</v>
      </c>
      <c r="D44" s="51">
        <f>193+222.7+1.6+196.4</f>
        <v>613.7</v>
      </c>
      <c r="E44" s="1">
        <f>D44/D43*100</f>
        <v>84.4502545754782</v>
      </c>
      <c r="F44" s="1">
        <f aca="true" t="shared" si="6" ref="F44:F71">D44/B44*100</f>
        <v>70.47542489664677</v>
      </c>
      <c r="G44" s="1">
        <f t="shared" si="4"/>
        <v>22.91122228029568</v>
      </c>
      <c r="H44" s="1">
        <f aca="true" t="shared" si="7" ref="H44:H71">B44-D44</f>
        <v>257.0999999999999</v>
      </c>
      <c r="I44" s="1">
        <f t="shared" si="5"/>
        <v>2064.8999999999996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6.8</v>
      </c>
      <c r="C46" s="50">
        <v>28.6</v>
      </c>
      <c r="D46" s="51">
        <f>3.8+1</f>
        <v>4.8</v>
      </c>
      <c r="E46" s="1">
        <f>D46/D43*100</f>
        <v>0.6605201596257053</v>
      </c>
      <c r="F46" s="1">
        <f t="shared" si="6"/>
        <v>70.58823529411765</v>
      </c>
      <c r="G46" s="1">
        <f t="shared" si="4"/>
        <v>16.78321678321678</v>
      </c>
      <c r="H46" s="1">
        <f t="shared" si="7"/>
        <v>2</v>
      </c>
      <c r="I46" s="1">
        <f t="shared" si="5"/>
        <v>23.8</v>
      </c>
    </row>
    <row r="47" spans="1:9" ht="18">
      <c r="A47" s="29" t="s">
        <v>0</v>
      </c>
      <c r="B47" s="49">
        <v>119.3</v>
      </c>
      <c r="C47" s="50">
        <v>259.9</v>
      </c>
      <c r="D47" s="51">
        <f>4.7+90.3</f>
        <v>95</v>
      </c>
      <c r="E47" s="1">
        <f>D47/D43*100</f>
        <v>13.072794825925419</v>
      </c>
      <c r="F47" s="1">
        <f t="shared" si="6"/>
        <v>79.6311818943839</v>
      </c>
      <c r="G47" s="1">
        <f t="shared" si="4"/>
        <v>36.552520200076955</v>
      </c>
      <c r="H47" s="1">
        <f t="shared" si="7"/>
        <v>24.299999999999997</v>
      </c>
      <c r="I47" s="1">
        <f t="shared" si="5"/>
        <v>164.89999999999998</v>
      </c>
    </row>
    <row r="48" spans="1:9" ht="18.75" thickBot="1">
      <c r="A48" s="29" t="s">
        <v>35</v>
      </c>
      <c r="B48" s="50">
        <f>B43-B44-B47-B46-B45</f>
        <v>20.600000000000048</v>
      </c>
      <c r="C48" s="50">
        <f>C43-C44-C47-C46-C45</f>
        <v>84.80000000000003</v>
      </c>
      <c r="D48" s="50">
        <f>D43-D44-D47-D46-D45</f>
        <v>13.199999999999886</v>
      </c>
      <c r="E48" s="1">
        <f>D48/D43*100</f>
        <v>1.8164304389706738</v>
      </c>
      <c r="F48" s="1">
        <f t="shared" si="6"/>
        <v>64.07766990291192</v>
      </c>
      <c r="G48" s="1">
        <f t="shared" si="4"/>
        <v>15.566037735848917</v>
      </c>
      <c r="H48" s="1">
        <f t="shared" si="7"/>
        <v>7.400000000000162</v>
      </c>
      <c r="I48" s="1">
        <f t="shared" si="5"/>
        <v>71.60000000000014</v>
      </c>
    </row>
    <row r="49" spans="1:9" ht="18.75" thickBot="1">
      <c r="A49" s="28" t="s">
        <v>4</v>
      </c>
      <c r="B49" s="52">
        <v>2017.5</v>
      </c>
      <c r="C49" s="53">
        <v>6052.6</v>
      </c>
      <c r="D49" s="54">
        <f>260.4+84.2+35.2+27.7+429.5+47.7+9.2+7.6+47.3+0.3+0.2+338.5+6.8+0.3</f>
        <v>1294.9</v>
      </c>
      <c r="E49" s="3">
        <f>D49/D137*100</f>
        <v>1.7146360453599292</v>
      </c>
      <c r="F49" s="3">
        <f>D49/B49*100</f>
        <v>64.18339529120199</v>
      </c>
      <c r="G49" s="3">
        <f t="shared" si="4"/>
        <v>21.394111621451938</v>
      </c>
      <c r="H49" s="3">
        <f>B49-D49</f>
        <v>722.5999999999999</v>
      </c>
      <c r="I49" s="3">
        <f t="shared" si="5"/>
        <v>4757.700000000001</v>
      </c>
    </row>
    <row r="50" spans="1:9" ht="18">
      <c r="A50" s="29" t="s">
        <v>3</v>
      </c>
      <c r="B50" s="49">
        <v>1407</v>
      </c>
      <c r="C50" s="50">
        <v>4220.9</v>
      </c>
      <c r="D50" s="51">
        <f>260.4+390.2+0.1+271.7</f>
        <v>922.3999999999999</v>
      </c>
      <c r="E50" s="1">
        <f>D50/D49*100</f>
        <v>71.23329986871572</v>
      </c>
      <c r="F50" s="1">
        <f t="shared" si="6"/>
        <v>65.55792466240227</v>
      </c>
      <c r="G50" s="1">
        <f t="shared" si="4"/>
        <v>21.85315927882679</v>
      </c>
      <c r="H50" s="1">
        <f t="shared" si="7"/>
        <v>484.60000000000014</v>
      </c>
      <c r="I50" s="1">
        <f t="shared" si="5"/>
        <v>3298.5</v>
      </c>
    </row>
    <row r="51" spans="1:9" ht="18" hidden="1">
      <c r="A51" s="29" t="s">
        <v>2</v>
      </c>
      <c r="B51" s="49"/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17</v>
      </c>
      <c r="C52" s="50">
        <v>104</v>
      </c>
      <c r="D52" s="51">
        <f>1.7</f>
        <v>1.7</v>
      </c>
      <c r="E52" s="1">
        <f>D52/D49*100</f>
        <v>0.1312842690555255</v>
      </c>
      <c r="F52" s="1">
        <f t="shared" si="6"/>
        <v>10</v>
      </c>
      <c r="G52" s="1">
        <f t="shared" si="4"/>
        <v>1.6346153846153848</v>
      </c>
      <c r="H52" s="1">
        <f t="shared" si="7"/>
        <v>15.3</v>
      </c>
      <c r="I52" s="1">
        <f t="shared" si="5"/>
        <v>102.3</v>
      </c>
    </row>
    <row r="53" spans="1:9" ht="18">
      <c r="A53" s="29" t="s">
        <v>0</v>
      </c>
      <c r="B53" s="49">
        <v>95.9</v>
      </c>
      <c r="C53" s="50">
        <v>236.3</v>
      </c>
      <c r="D53" s="51">
        <f>1.1+7.6+5.9+0.3+0.2+6.8+0.3</f>
        <v>22.2</v>
      </c>
      <c r="E53" s="1">
        <f>D53/D49*100</f>
        <v>1.7144181017839215</v>
      </c>
      <c r="F53" s="1">
        <f t="shared" si="6"/>
        <v>23.14911366006256</v>
      </c>
      <c r="G53" s="1">
        <f t="shared" si="4"/>
        <v>9.394837071519255</v>
      </c>
      <c r="H53" s="1">
        <f t="shared" si="7"/>
        <v>73.7</v>
      </c>
      <c r="I53" s="1">
        <f t="shared" si="5"/>
        <v>214.10000000000002</v>
      </c>
    </row>
    <row r="54" spans="1:9" ht="18.75" thickBot="1">
      <c r="A54" s="29" t="s">
        <v>35</v>
      </c>
      <c r="B54" s="50">
        <f>B49-B50-B53-B52-B51</f>
        <v>497.6</v>
      </c>
      <c r="C54" s="50">
        <f>C49-C50-C53-C52-C51</f>
        <v>1491.4000000000008</v>
      </c>
      <c r="D54" s="50">
        <f>D49-D50-D53-D52-D51</f>
        <v>348.60000000000025</v>
      </c>
      <c r="E54" s="1">
        <f>D54/D49*100</f>
        <v>26.920997760444838</v>
      </c>
      <c r="F54" s="1">
        <f t="shared" si="6"/>
        <v>70.05627009646307</v>
      </c>
      <c r="G54" s="1">
        <f t="shared" si="4"/>
        <v>23.374010996379248</v>
      </c>
      <c r="H54" s="1">
        <f t="shared" si="7"/>
        <v>148.99999999999977</v>
      </c>
      <c r="I54" s="1">
        <f>C54-D54</f>
        <v>1142.8000000000006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523.3</v>
      </c>
      <c r="C56" s="53">
        <v>1570</v>
      </c>
      <c r="D56" s="54">
        <f>36.1+65.6+6.5+0.4+1.3+60.3+3+39.2</f>
        <v>212.39999999999998</v>
      </c>
      <c r="E56" s="3">
        <f>D56/D137*100</f>
        <v>0.2812485103362799</v>
      </c>
      <c r="F56" s="3">
        <f>D56/B56*100</f>
        <v>40.58857252054271</v>
      </c>
      <c r="G56" s="3">
        <f t="shared" si="4"/>
        <v>13.528662420382165</v>
      </c>
      <c r="H56" s="3">
        <f>B56-D56</f>
        <v>310.9</v>
      </c>
      <c r="I56" s="3">
        <f t="shared" si="5"/>
        <v>1357.6</v>
      </c>
    </row>
    <row r="57" spans="1:9" ht="18">
      <c r="A57" s="29" t="s">
        <v>3</v>
      </c>
      <c r="B57" s="49">
        <v>272.5</v>
      </c>
      <c r="C57" s="50">
        <v>839</v>
      </c>
      <c r="D57" s="51">
        <f>36.1+65.6+39.2</f>
        <v>140.89999999999998</v>
      </c>
      <c r="E57" s="1">
        <f>D57/D56*100</f>
        <v>66.33709981167608</v>
      </c>
      <c r="F57" s="1">
        <f t="shared" si="6"/>
        <v>51.70642201834862</v>
      </c>
      <c r="G57" s="1">
        <f t="shared" si="4"/>
        <v>16.793802145411203</v>
      </c>
      <c r="H57" s="1">
        <f t="shared" si="7"/>
        <v>131.60000000000002</v>
      </c>
      <c r="I57" s="1">
        <f t="shared" si="5"/>
        <v>698.1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137.2</v>
      </c>
      <c r="C59" s="50">
        <v>255</v>
      </c>
      <c r="D59" s="51">
        <f>1.3+56.1</f>
        <v>57.4</v>
      </c>
      <c r="E59" s="1">
        <f>D59/D56*100</f>
        <v>27.024482109227876</v>
      </c>
      <c r="F59" s="1">
        <f t="shared" si="6"/>
        <v>41.83673469387755</v>
      </c>
      <c r="G59" s="1">
        <f t="shared" si="4"/>
        <v>22.509803921568626</v>
      </c>
      <c r="H59" s="1">
        <f t="shared" si="7"/>
        <v>79.79999999999998</v>
      </c>
      <c r="I59" s="1">
        <f t="shared" si="5"/>
        <v>197.6</v>
      </c>
    </row>
    <row r="60" spans="1:9" ht="18">
      <c r="A60" s="29" t="s">
        <v>15</v>
      </c>
      <c r="B60" s="49">
        <v>89.2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89.2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24.399999999999963</v>
      </c>
      <c r="C61" s="50">
        <f>C56-C57-C59-C60-C58</f>
        <v>88.19999999999997</v>
      </c>
      <c r="D61" s="50">
        <f>D56-D57-D59-D60-D58</f>
        <v>14.100000000000001</v>
      </c>
      <c r="E61" s="1">
        <f>D61/D56*100</f>
        <v>6.638418079096047</v>
      </c>
      <c r="F61" s="1">
        <f t="shared" si="6"/>
        <v>57.78688524590173</v>
      </c>
      <c r="G61" s="1">
        <f t="shared" si="4"/>
        <v>15.986394557823136</v>
      </c>
      <c r="H61" s="1">
        <f t="shared" si="7"/>
        <v>10.299999999999962</v>
      </c>
      <c r="I61" s="1">
        <f t="shared" si="5"/>
        <v>74.09999999999997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58.4</v>
      </c>
      <c r="C66" s="53">
        <f>C67+C68</f>
        <v>175.1</v>
      </c>
      <c r="D66" s="54">
        <f>SUM(D67:D68)</f>
        <v>0.2</v>
      </c>
      <c r="E66" s="42">
        <f>D66/D137*100</f>
        <v>0.0002648291057780414</v>
      </c>
      <c r="F66" s="113">
        <f>D66/B66*100</f>
        <v>0.34246575342465757</v>
      </c>
      <c r="G66" s="3">
        <f t="shared" si="4"/>
        <v>0.1142204454597373</v>
      </c>
      <c r="H66" s="3">
        <f>B66-D66</f>
        <v>58.199999999999996</v>
      </c>
      <c r="I66" s="3">
        <f t="shared" si="5"/>
        <v>174.9</v>
      </c>
    </row>
    <row r="67" spans="1:9" ht="18">
      <c r="A67" s="29" t="s">
        <v>8</v>
      </c>
      <c r="B67" s="49">
        <v>32.3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0.6191950464396286</v>
      </c>
      <c r="G67" s="1">
        <f t="shared" si="4"/>
        <v>0.2066115702479339</v>
      </c>
      <c r="H67" s="1">
        <f t="shared" si="7"/>
        <v>32.099999999999994</v>
      </c>
      <c r="I67" s="1">
        <f t="shared" si="5"/>
        <v>96.6</v>
      </c>
    </row>
    <row r="68" spans="1:9" ht="18.75" thickBot="1">
      <c r="A68" s="29" t="s">
        <v>9</v>
      </c>
      <c r="B68" s="49">
        <v>26.1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26.1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66.7</v>
      </c>
      <c r="C74" s="69">
        <v>200</v>
      </c>
      <c r="D74" s="70"/>
      <c r="E74" s="48"/>
      <c r="F74" s="48"/>
      <c r="G74" s="48"/>
      <c r="H74" s="48">
        <f>B74-D74</f>
        <v>66.7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7337.9</v>
      </c>
      <c r="C87" s="53">
        <v>22013.7</v>
      </c>
      <c r="D87" s="54">
        <f>1173.8+37.3+101.8+9.7+15.1+2.5+6.1+25.2+161.9+1262.3+173.1+14.9+67.5+0.1+74.5+11.5+2+20+14.7+81.5+461.2+565+206.1+3.2+46</f>
        <v>4536.999999999999</v>
      </c>
      <c r="E87" s="3">
        <f>D87/D137*100</f>
        <v>6.0076482645748674</v>
      </c>
      <c r="F87" s="3">
        <f aca="true" t="shared" si="10" ref="F87:F92">D87/B87*100</f>
        <v>61.82967879093473</v>
      </c>
      <c r="G87" s="3">
        <f t="shared" si="8"/>
        <v>20.609892930311574</v>
      </c>
      <c r="H87" s="3">
        <f aca="true" t="shared" si="11" ref="H87:H92">B87-D87</f>
        <v>2800.9000000000005</v>
      </c>
      <c r="I87" s="3">
        <f t="shared" si="9"/>
        <v>17476.7</v>
      </c>
    </row>
    <row r="88" spans="1:9" ht="18">
      <c r="A88" s="29" t="s">
        <v>3</v>
      </c>
      <c r="B88" s="49">
        <v>6148.5</v>
      </c>
      <c r="C88" s="50">
        <v>18547.4</v>
      </c>
      <c r="D88" s="51">
        <f>1167.3+36.1+0.8+0.4+161.9+1233.6+154.1+3-0.1+4.3+0.5+8.4+3.9+81.5+433.3+525.7+205</f>
        <v>4019.7000000000007</v>
      </c>
      <c r="E88" s="1">
        <f>D88/D87*100</f>
        <v>88.59819263830728</v>
      </c>
      <c r="F88" s="1">
        <f t="shared" si="10"/>
        <v>65.37692120029277</v>
      </c>
      <c r="G88" s="1">
        <f t="shared" si="8"/>
        <v>21.67257944509743</v>
      </c>
      <c r="H88" s="1">
        <f t="shared" si="11"/>
        <v>2128.7999999999993</v>
      </c>
      <c r="I88" s="1">
        <f t="shared" si="9"/>
        <v>14527.7</v>
      </c>
    </row>
    <row r="89" spans="1:9" ht="18">
      <c r="A89" s="29" t="s">
        <v>33</v>
      </c>
      <c r="B89" s="49">
        <v>514.9</v>
      </c>
      <c r="C89" s="50">
        <v>1179</v>
      </c>
      <c r="D89" s="51">
        <f>15.4+0.6+1.6+3.7</f>
        <v>21.3</v>
      </c>
      <c r="E89" s="1">
        <f>D89/D87*100</f>
        <v>0.4694732201895526</v>
      </c>
      <c r="F89" s="1">
        <f t="shared" si="10"/>
        <v>4.1367255777820935</v>
      </c>
      <c r="G89" s="1">
        <f t="shared" si="8"/>
        <v>1.8066157760814252</v>
      </c>
      <c r="H89" s="1">
        <f t="shared" si="11"/>
        <v>493.59999999999997</v>
      </c>
      <c r="I89" s="1">
        <f t="shared" si="9"/>
        <v>1157.7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674.4999999999997</v>
      </c>
      <c r="C91" s="50">
        <f>C87-C88-C89-C90</f>
        <v>2287.2999999999993</v>
      </c>
      <c r="D91" s="50">
        <f>D87-D88-D89-D90</f>
        <v>495.99999999999835</v>
      </c>
      <c r="E91" s="1">
        <f>D91/D87*100</f>
        <v>10.932334141503162</v>
      </c>
      <c r="F91" s="1">
        <f t="shared" si="10"/>
        <v>73.53595255744976</v>
      </c>
      <c r="G91" s="1">
        <f>D91/C91*100</f>
        <v>21.68495606173211</v>
      </c>
      <c r="H91" s="1">
        <f t="shared" si="11"/>
        <v>178.5000000000013</v>
      </c>
      <c r="I91" s="1">
        <f>C91-D91</f>
        <v>1791.3000000000009</v>
      </c>
    </row>
    <row r="92" spans="1:9" ht="19.5" thickBot="1">
      <c r="A92" s="14" t="s">
        <v>12</v>
      </c>
      <c r="B92" s="61">
        <v>7115.4</v>
      </c>
      <c r="C92" s="72">
        <v>21346.2</v>
      </c>
      <c r="D92" s="54">
        <f>3479.6+8.1+4.1+53.2+1101.8+1997.1</f>
        <v>6643.9</v>
      </c>
      <c r="E92" s="3">
        <f>D92/D137*100</f>
        <v>8.797490479393645</v>
      </c>
      <c r="F92" s="3">
        <f t="shared" si="10"/>
        <v>93.37352784102089</v>
      </c>
      <c r="G92" s="3">
        <f>D92/C92*100</f>
        <v>31.12450928034029</v>
      </c>
      <c r="H92" s="3">
        <f t="shared" si="11"/>
        <v>471.5</v>
      </c>
      <c r="I92" s="3">
        <f>C92-D92</f>
        <v>14702.300000000001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1068.8</v>
      </c>
      <c r="C98" s="106">
        <v>3206.4</v>
      </c>
      <c r="D98" s="91">
        <f>110.5+80.7+66.2+55.7+33+106.8+21.7+2.2</f>
        <v>476.79999999999995</v>
      </c>
      <c r="E98" s="25">
        <f>D98/D137*100</f>
        <v>0.6313525881748506</v>
      </c>
      <c r="F98" s="25">
        <f>D98/B98*100</f>
        <v>44.610778443113766</v>
      </c>
      <c r="G98" s="25">
        <f aca="true" t="shared" si="12" ref="G98:G135">D98/C98*100</f>
        <v>14.870259481037923</v>
      </c>
      <c r="H98" s="25">
        <f aca="true" t="shared" si="13" ref="H98:H103">B98-D98</f>
        <v>592</v>
      </c>
      <c r="I98" s="25">
        <f aca="true" t="shared" si="14" ref="I98:I135">C98-D98</f>
        <v>2729.6000000000004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995.6</v>
      </c>
      <c r="C100" s="51">
        <v>2957.6</v>
      </c>
      <c r="D100" s="51">
        <f>110.3+80.7+66.2+32.9+19.7+106.6+21.7</f>
        <v>438.09999999999997</v>
      </c>
      <c r="E100" s="1">
        <f>D100/D98*100</f>
        <v>91.88338926174497</v>
      </c>
      <c r="F100" s="1">
        <f aca="true" t="shared" si="15" ref="F100:F135">D100/B100*100</f>
        <v>44.003615910004015</v>
      </c>
      <c r="G100" s="1">
        <f t="shared" si="12"/>
        <v>14.812685961590477</v>
      </c>
      <c r="H100" s="1">
        <f t="shared" si="13"/>
        <v>557.5</v>
      </c>
      <c r="I100" s="1">
        <f t="shared" si="14"/>
        <v>2519.5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73.19999999999993</v>
      </c>
      <c r="C102" s="101">
        <f>C98-C99-C100</f>
        <v>225.20000000000027</v>
      </c>
      <c r="D102" s="101">
        <f>D98-D99-D100</f>
        <v>38.69999999999999</v>
      </c>
      <c r="E102" s="97">
        <f>D102/D98*100</f>
        <v>8.116610738255032</v>
      </c>
      <c r="F102" s="97">
        <f t="shared" si="15"/>
        <v>52.86885245901642</v>
      </c>
      <c r="G102" s="97">
        <f t="shared" si="12"/>
        <v>17.184724689165158</v>
      </c>
      <c r="H102" s="97">
        <f>B102-D102</f>
        <v>34.49999999999994</v>
      </c>
      <c r="I102" s="97">
        <f t="shared" si="14"/>
        <v>186.50000000000028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7180.3</v>
      </c>
      <c r="C103" s="94">
        <f>SUM(C104:C134)-C111-C115+C135-C130-C131-C105-C108-C118-C119</f>
        <v>13880.6</v>
      </c>
      <c r="D103" s="94">
        <f>SUM(D104:D134)-D111-D115+D135-D130-D131-D105-D108-D118-D119</f>
        <v>5098.1</v>
      </c>
      <c r="E103" s="95">
        <f>D103/D137*100</f>
        <v>6.750626320835165</v>
      </c>
      <c r="F103" s="95">
        <f>D103/B103*100</f>
        <v>71.00121164853836</v>
      </c>
      <c r="G103" s="95">
        <f t="shared" si="12"/>
        <v>36.72823941328185</v>
      </c>
      <c r="H103" s="95">
        <f t="shared" si="13"/>
        <v>2082.2</v>
      </c>
      <c r="I103" s="95">
        <f t="shared" si="14"/>
        <v>8782.5</v>
      </c>
    </row>
    <row r="104" spans="1:9" ht="37.5">
      <c r="A104" s="34" t="s">
        <v>68</v>
      </c>
      <c r="B104" s="79">
        <v>308.4</v>
      </c>
      <c r="C104" s="75">
        <v>834.9</v>
      </c>
      <c r="D104" s="80">
        <f>114.2+9</f>
        <v>123.2</v>
      </c>
      <c r="E104" s="6">
        <f>D104/D103*100</f>
        <v>2.4165865714678016</v>
      </c>
      <c r="F104" s="6">
        <f t="shared" si="15"/>
        <v>39.94811932555123</v>
      </c>
      <c r="G104" s="6">
        <f t="shared" si="12"/>
        <v>14.756258234519104</v>
      </c>
      <c r="H104" s="6">
        <f aca="true" t="shared" si="16" ref="H104:H135">B104-D104</f>
        <v>185.2</v>
      </c>
      <c r="I104" s="6">
        <f t="shared" si="14"/>
        <v>711.6999999999999</v>
      </c>
    </row>
    <row r="105" spans="1:9" ht="18">
      <c r="A105" s="29" t="s">
        <v>33</v>
      </c>
      <c r="B105" s="82">
        <v>225.2</v>
      </c>
      <c r="C105" s="51">
        <v>466</v>
      </c>
      <c r="D105" s="83">
        <f>96.8</f>
        <v>96.8</v>
      </c>
      <c r="E105" s="1"/>
      <c r="F105" s="1">
        <f t="shared" si="15"/>
        <v>42.98401420959148</v>
      </c>
      <c r="G105" s="1">
        <f t="shared" si="12"/>
        <v>20.7725321888412</v>
      </c>
      <c r="H105" s="1">
        <f t="shared" si="16"/>
        <v>128.39999999999998</v>
      </c>
      <c r="I105" s="1">
        <f t="shared" si="14"/>
        <v>369.2</v>
      </c>
    </row>
    <row r="106" spans="1:9" ht="34.5" customHeight="1">
      <c r="A106" s="17" t="s">
        <v>102</v>
      </c>
      <c r="B106" s="81">
        <v>142.9</v>
      </c>
      <c r="C106" s="68">
        <v>428.7</v>
      </c>
      <c r="D106" s="80">
        <f>20.7</f>
        <v>20.7</v>
      </c>
      <c r="E106" s="6">
        <f>D106/D103*100</f>
        <v>0.4060336203683725</v>
      </c>
      <c r="F106" s="6">
        <f>D106/B106*100</f>
        <v>14.485654303708886</v>
      </c>
      <c r="G106" s="6">
        <f t="shared" si="12"/>
        <v>4.828551434569629</v>
      </c>
      <c r="H106" s="6">
        <f t="shared" si="16"/>
        <v>122.2</v>
      </c>
      <c r="I106" s="6">
        <f t="shared" si="14"/>
        <v>408</v>
      </c>
    </row>
    <row r="107" spans="1:9" ht="34.5" customHeight="1">
      <c r="A107" s="17" t="s">
        <v>77</v>
      </c>
      <c r="B107" s="81">
        <v>10.6</v>
      </c>
      <c r="C107" s="68">
        <v>31.8</v>
      </c>
      <c r="D107" s="80">
        <f>5.3+5.3</f>
        <v>10.6</v>
      </c>
      <c r="E107" s="6">
        <f>D107/D103*100</f>
        <v>0.2079205978697946</v>
      </c>
      <c r="F107" s="6">
        <f t="shared" si="15"/>
        <v>100</v>
      </c>
      <c r="G107" s="6">
        <f t="shared" si="12"/>
        <v>33.33333333333333</v>
      </c>
      <c r="H107" s="6">
        <f t="shared" si="16"/>
        <v>0</v>
      </c>
      <c r="I107" s="6">
        <f t="shared" si="14"/>
        <v>21.200000000000003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11</v>
      </c>
      <c r="C109" s="68">
        <v>33</v>
      </c>
      <c r="D109" s="80">
        <f>5.5</f>
        <v>5.5</v>
      </c>
      <c r="E109" s="6">
        <f>D109/D103*100</f>
        <v>0.10788332908338401</v>
      </c>
      <c r="F109" s="6">
        <f t="shared" si="15"/>
        <v>50</v>
      </c>
      <c r="G109" s="6">
        <f t="shared" si="12"/>
        <v>16.666666666666664</v>
      </c>
      <c r="H109" s="6">
        <f t="shared" si="16"/>
        <v>5.5</v>
      </c>
      <c r="I109" s="6">
        <f t="shared" si="14"/>
        <v>27.5</v>
      </c>
    </row>
    <row r="110" spans="1:9" ht="37.5">
      <c r="A110" s="17" t="s">
        <v>47</v>
      </c>
      <c r="B110" s="81">
        <v>175</v>
      </c>
      <c r="C110" s="68">
        <v>525</v>
      </c>
      <c r="D110" s="80">
        <f>96.4</f>
        <v>96.4</v>
      </c>
      <c r="E110" s="6">
        <f>D110/D103*100</f>
        <v>1.890900531570585</v>
      </c>
      <c r="F110" s="6">
        <f t="shared" si="15"/>
        <v>55.085714285714296</v>
      </c>
      <c r="G110" s="6">
        <f t="shared" si="12"/>
        <v>18.361904761904764</v>
      </c>
      <c r="H110" s="6">
        <f t="shared" si="16"/>
        <v>78.6</v>
      </c>
      <c r="I110" s="6">
        <f t="shared" si="14"/>
        <v>428.6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40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40</v>
      </c>
      <c r="I113" s="6">
        <f t="shared" si="14"/>
        <v>120</v>
      </c>
    </row>
    <row r="114" spans="1:9" s="2" customFormat="1" ht="18.75">
      <c r="A114" s="17" t="s">
        <v>16</v>
      </c>
      <c r="B114" s="81">
        <v>30.1</v>
      </c>
      <c r="C114" s="60">
        <v>90.2</v>
      </c>
      <c r="D114" s="80">
        <f>1.6+18.3</f>
        <v>19.900000000000002</v>
      </c>
      <c r="E114" s="6">
        <f>D114/D103*100</f>
        <v>0.3903414997744258</v>
      </c>
      <c r="F114" s="6">
        <f t="shared" si="15"/>
        <v>66.11295681063123</v>
      </c>
      <c r="G114" s="6">
        <f t="shared" si="12"/>
        <v>22.06208425720621</v>
      </c>
      <c r="H114" s="6">
        <f t="shared" si="16"/>
        <v>10.2</v>
      </c>
      <c r="I114" s="6">
        <f t="shared" si="14"/>
        <v>70.3</v>
      </c>
    </row>
    <row r="115" spans="1:9" s="39" customFormat="1" ht="18">
      <c r="A115" s="40" t="s">
        <v>54</v>
      </c>
      <c r="B115" s="82">
        <v>26.9</v>
      </c>
      <c r="C115" s="51">
        <v>80.8</v>
      </c>
      <c r="D115" s="83">
        <f>16.7</f>
        <v>16.7</v>
      </c>
      <c r="E115" s="1"/>
      <c r="F115" s="1">
        <f t="shared" si="15"/>
        <v>62.0817843866171</v>
      </c>
      <c r="G115" s="1">
        <f t="shared" si="12"/>
        <v>20.668316831683168</v>
      </c>
      <c r="H115" s="1">
        <f t="shared" si="16"/>
        <v>10.2</v>
      </c>
      <c r="I115" s="1">
        <f t="shared" si="14"/>
        <v>64.1</v>
      </c>
    </row>
    <row r="116" spans="1:9" s="2" customFormat="1" ht="18.75">
      <c r="A116" s="17" t="s">
        <v>25</v>
      </c>
      <c r="B116" s="81">
        <v>55.9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55.9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131.9</v>
      </c>
      <c r="C117" s="60">
        <v>395.6</v>
      </c>
      <c r="D117" s="84">
        <f>110.6</f>
        <v>110.6</v>
      </c>
      <c r="E117" s="19">
        <f>D117/D103*100</f>
        <v>2.16943567211314</v>
      </c>
      <c r="F117" s="6">
        <f t="shared" si="15"/>
        <v>83.85140257771037</v>
      </c>
      <c r="G117" s="6">
        <f t="shared" si="12"/>
        <v>27.957532861476235</v>
      </c>
      <c r="H117" s="6">
        <f t="shared" si="16"/>
        <v>21.30000000000001</v>
      </c>
      <c r="I117" s="6">
        <f t="shared" si="14"/>
        <v>285</v>
      </c>
    </row>
    <row r="118" spans="1:9" s="117" customFormat="1" ht="18">
      <c r="A118" s="29" t="s">
        <v>104</v>
      </c>
      <c r="B118" s="82">
        <v>11.7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11.7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283.4</v>
      </c>
      <c r="C120" s="60">
        <v>850</v>
      </c>
      <c r="D120" s="84">
        <f>21+0.9</f>
        <v>21.9</v>
      </c>
      <c r="E120" s="19">
        <f>D120/D103*100</f>
        <v>0.4295718012592926</v>
      </c>
      <c r="F120" s="6">
        <f t="shared" si="15"/>
        <v>7.727593507410021</v>
      </c>
      <c r="G120" s="6">
        <f t="shared" si="12"/>
        <v>2.576470588235294</v>
      </c>
      <c r="H120" s="6">
        <f t="shared" si="16"/>
        <v>261.5</v>
      </c>
      <c r="I120" s="6">
        <f t="shared" si="14"/>
        <v>828.1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8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8</v>
      </c>
      <c r="I123" s="6">
        <f t="shared" si="14"/>
        <v>25</v>
      </c>
    </row>
    <row r="124" spans="1:9" s="2" customFormat="1" ht="37.5">
      <c r="A124" s="17" t="s">
        <v>80</v>
      </c>
      <c r="B124" s="81">
        <v>14.1</v>
      </c>
      <c r="C124" s="60">
        <v>42.4</v>
      </c>
      <c r="D124" s="84">
        <f>3+3+4.9</f>
        <v>10.9</v>
      </c>
      <c r="E124" s="19">
        <f>D124/D103*100</f>
        <v>0.21380514309252466</v>
      </c>
      <c r="F124" s="6">
        <f t="shared" si="15"/>
        <v>77.30496453900709</v>
      </c>
      <c r="G124" s="6">
        <f t="shared" si="12"/>
        <v>25.707547169811324</v>
      </c>
      <c r="H124" s="6">
        <f t="shared" si="16"/>
        <v>3.1999999999999993</v>
      </c>
      <c r="I124" s="6">
        <f t="shared" si="14"/>
        <v>31.5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11.3</v>
      </c>
      <c r="C126" s="60">
        <v>33.8</v>
      </c>
      <c r="D126" s="84">
        <f>5.6+5.6</f>
        <v>11.2</v>
      </c>
      <c r="E126" s="19">
        <f>D126/D103*100</f>
        <v>0.21968968831525465</v>
      </c>
      <c r="F126" s="6">
        <f t="shared" si="15"/>
        <v>99.1150442477876</v>
      </c>
      <c r="G126" s="6">
        <f t="shared" si="12"/>
        <v>33.13609467455622</v>
      </c>
      <c r="H126" s="6">
        <f t="shared" si="16"/>
        <v>0.10000000000000142</v>
      </c>
      <c r="I126" s="6">
        <f t="shared" si="14"/>
        <v>22.599999999999998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8.4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8.4</v>
      </c>
      <c r="I128" s="6">
        <f t="shared" si="14"/>
        <v>25.2</v>
      </c>
    </row>
    <row r="129" spans="1:9" s="2" customFormat="1" ht="18.75">
      <c r="A129" s="17" t="s">
        <v>32</v>
      </c>
      <c r="B129" s="81">
        <v>144.7</v>
      </c>
      <c r="C129" s="60">
        <v>434.1</v>
      </c>
      <c r="D129" s="84">
        <f>21.9+41.8+0.1+6.1+26+3.6</f>
        <v>99.49999999999999</v>
      </c>
      <c r="E129" s="19">
        <f>D129/D103*100</f>
        <v>1.9517074988721284</v>
      </c>
      <c r="F129" s="6">
        <f t="shared" si="15"/>
        <v>68.76295784381479</v>
      </c>
      <c r="G129" s="6">
        <f t="shared" si="12"/>
        <v>22.92098594793826</v>
      </c>
      <c r="H129" s="6">
        <f t="shared" si="16"/>
        <v>45.2</v>
      </c>
      <c r="I129" s="6">
        <f t="shared" si="14"/>
        <v>334.6</v>
      </c>
    </row>
    <row r="130" spans="1:9" s="39" customFormat="1" ht="18">
      <c r="A130" s="40" t="s">
        <v>54</v>
      </c>
      <c r="B130" s="82">
        <v>124.6</v>
      </c>
      <c r="C130" s="51">
        <v>373.7</v>
      </c>
      <c r="D130" s="83">
        <f>21.9+39.7+0.1+6.1+19</f>
        <v>86.8</v>
      </c>
      <c r="E130" s="1">
        <f>D130/D129*100</f>
        <v>87.23618090452263</v>
      </c>
      <c r="F130" s="1">
        <f>D130/B130*100</f>
        <v>69.66292134831461</v>
      </c>
      <c r="G130" s="1">
        <f t="shared" si="12"/>
        <v>23.227187583623227</v>
      </c>
      <c r="H130" s="1">
        <f t="shared" si="16"/>
        <v>37.8</v>
      </c>
      <c r="I130" s="1">
        <f t="shared" si="14"/>
        <v>286.9</v>
      </c>
    </row>
    <row r="131" spans="1:9" s="39" customFormat="1" ht="18">
      <c r="A131" s="29" t="s">
        <v>33</v>
      </c>
      <c r="B131" s="82">
        <v>13.4</v>
      </c>
      <c r="C131" s="51">
        <v>21.5</v>
      </c>
      <c r="D131" s="83">
        <f>7</f>
        <v>7</v>
      </c>
      <c r="E131" s="1">
        <f>D131/D129*100</f>
        <v>7.035175879396986</v>
      </c>
      <c r="F131" s="1">
        <f>D131/B131*100</f>
        <v>52.23880597014925</v>
      </c>
      <c r="G131" s="1">
        <f>D131/C131*100</f>
        <v>32.55813953488372</v>
      </c>
      <c r="H131" s="1">
        <f t="shared" si="16"/>
        <v>6.4</v>
      </c>
      <c r="I131" s="1">
        <f t="shared" si="14"/>
        <v>14.5</v>
      </c>
    </row>
    <row r="132" spans="1:9" s="2" customFormat="1" ht="18.75">
      <c r="A132" s="17" t="s">
        <v>27</v>
      </c>
      <c r="B132" s="81">
        <v>2094</v>
      </c>
      <c r="C132" s="60">
        <v>4188</v>
      </c>
      <c r="D132" s="84">
        <f>2094</f>
        <v>2094</v>
      </c>
      <c r="E132" s="19">
        <f>D132/D103*100</f>
        <v>41.07412565465565</v>
      </c>
      <c r="F132" s="120">
        <f t="shared" si="15"/>
        <v>100</v>
      </c>
      <c r="G132" s="6">
        <f t="shared" si="12"/>
        <v>50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108</v>
      </c>
      <c r="B135" s="81">
        <f>1855.3+1855.3</f>
        <v>3710.6</v>
      </c>
      <c r="C135" s="60">
        <v>5565.9</v>
      </c>
      <c r="D135" s="84">
        <f>1236.9+618.4+618.4</f>
        <v>2473.7000000000003</v>
      </c>
      <c r="E135" s="19">
        <f>D135/D103*100</f>
        <v>48.521998391557645</v>
      </c>
      <c r="F135" s="6">
        <f t="shared" si="15"/>
        <v>66.66576833935214</v>
      </c>
      <c r="G135" s="6">
        <f t="shared" si="12"/>
        <v>44.44384555956809</v>
      </c>
      <c r="H135" s="6">
        <f t="shared" si="16"/>
        <v>1236.8999999999996</v>
      </c>
      <c r="I135" s="6">
        <f t="shared" si="14"/>
        <v>3092.1999999999994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8487.4</v>
      </c>
      <c r="C136" s="85">
        <f>C41+C66+C69+C74+C76+C84+C98+C103+C96+C81+C94</f>
        <v>17801.8</v>
      </c>
      <c r="D136" s="60">
        <f>D41+D66+D69+D74+D76+D84+D98+D103+D96+D81+D94</f>
        <v>5605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114939.59999999999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75520.40000000001</v>
      </c>
      <c r="E137" s="38">
        <v>100</v>
      </c>
      <c r="F137" s="3">
        <f>D137/B137*100</f>
        <v>65.70442214867636</v>
      </c>
      <c r="G137" s="3">
        <f aca="true" t="shared" si="17" ref="G137:G143">D137/C137*100</f>
        <v>22.39904614736668</v>
      </c>
      <c r="H137" s="3">
        <f aca="true" t="shared" si="18" ref="H137:H143">B137-D137</f>
        <v>39419.19999999998</v>
      </c>
      <c r="I137" s="3">
        <f aca="true" t="shared" si="19" ref="I137:I143">C137-D137</f>
        <v>261638.59999999992</v>
      </c>
      <c r="K137" s="46"/>
      <c r="L137" s="47"/>
    </row>
    <row r="138" spans="1:12" ht="18.75">
      <c r="A138" s="23" t="s">
        <v>5</v>
      </c>
      <c r="B138" s="67">
        <f>B7+B18+B32+B50+B57+B88+B111+B115+B44+B130</f>
        <v>80650.40000000001</v>
      </c>
      <c r="C138" s="67">
        <f>C7+C18+C32+C50+C57+C88+C111+C115+C44+C130</f>
        <v>242851.6</v>
      </c>
      <c r="D138" s="67">
        <f>D7+D18+D32+D50+D57+D88+D111+D115+D44+D130</f>
        <v>54698.90000000001</v>
      </c>
      <c r="E138" s="6">
        <f>D138/D137*100</f>
        <v>72.42930387021256</v>
      </c>
      <c r="F138" s="6">
        <f aca="true" t="shared" si="20" ref="F138:F149">D138/B138*100</f>
        <v>67.8222302679218</v>
      </c>
      <c r="G138" s="6">
        <f t="shared" si="17"/>
        <v>22.52359053841935</v>
      </c>
      <c r="H138" s="6">
        <f t="shared" si="18"/>
        <v>25951.5</v>
      </c>
      <c r="I138" s="18">
        <f t="shared" si="19"/>
        <v>188152.7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9789.7</v>
      </c>
      <c r="C139" s="68">
        <f>C10+C21+C34+C53+C59+C89+C47+C131+C105+C108</f>
        <v>27371.8</v>
      </c>
      <c r="D139" s="68">
        <f>D10+D21+D34+D53+D59+D89+D47+D131+D105+D108</f>
        <v>3362.8</v>
      </c>
      <c r="E139" s="6">
        <f>D139/D137*100</f>
        <v>4.452836584551989</v>
      </c>
      <c r="F139" s="6">
        <f t="shared" si="20"/>
        <v>34.35038867381023</v>
      </c>
      <c r="G139" s="6">
        <f t="shared" si="17"/>
        <v>12.2856370425036</v>
      </c>
      <c r="H139" s="6">
        <f t="shared" si="18"/>
        <v>6426.900000000001</v>
      </c>
      <c r="I139" s="18">
        <f t="shared" si="19"/>
        <v>24009</v>
      </c>
      <c r="K139" s="46"/>
      <c r="L139" s="103"/>
    </row>
    <row r="140" spans="1:12" ht="18.75">
      <c r="A140" s="23" t="s">
        <v>1</v>
      </c>
      <c r="B140" s="67">
        <f>B20+B9+B52+B46+B58+B33+B99+B119</f>
        <v>3927.4</v>
      </c>
      <c r="C140" s="67">
        <f>C20+C9+C52+C46+C58+C33+C99+C119</f>
        <v>11964.400000000001</v>
      </c>
      <c r="D140" s="67">
        <f>D20+D9+D52+D46+D58+D33+D99+D119</f>
        <v>2440.4</v>
      </c>
      <c r="E140" s="6">
        <f>D140/D137*100</f>
        <v>3.2314447487036615</v>
      </c>
      <c r="F140" s="6">
        <f t="shared" si="20"/>
        <v>62.1378010897795</v>
      </c>
      <c r="G140" s="6">
        <f t="shared" si="17"/>
        <v>20.397178295610306</v>
      </c>
      <c r="H140" s="6">
        <f t="shared" si="18"/>
        <v>1487</v>
      </c>
      <c r="I140" s="18">
        <f t="shared" si="19"/>
        <v>9524.000000000002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1345.1</v>
      </c>
      <c r="C141" s="67">
        <f>C11+C22+C100+C60+C36+C90</f>
        <v>4196.7</v>
      </c>
      <c r="D141" s="67">
        <f>D11+D22+D100+D60+D36+D90</f>
        <v>576.1999999999999</v>
      </c>
      <c r="E141" s="6">
        <f>D141/D137*100</f>
        <v>0.7629726537465371</v>
      </c>
      <c r="F141" s="6">
        <f t="shared" si="20"/>
        <v>42.836963794513416</v>
      </c>
      <c r="G141" s="6">
        <f t="shared" si="17"/>
        <v>13.729835346820119</v>
      </c>
      <c r="H141" s="6">
        <f t="shared" si="18"/>
        <v>768.9</v>
      </c>
      <c r="I141" s="18">
        <f t="shared" si="19"/>
        <v>3620.5</v>
      </c>
      <c r="K141" s="46"/>
      <c r="L141" s="103"/>
    </row>
    <row r="142" spans="1:12" ht="18.75">
      <c r="A142" s="23" t="s">
        <v>2</v>
      </c>
      <c r="B142" s="67">
        <f>B8+B19+B45+B51+B118</f>
        <v>758.0000000000001</v>
      </c>
      <c r="C142" s="67">
        <f>C8+C19+C45+C51+C118</f>
        <v>2641.3999999999996</v>
      </c>
      <c r="D142" s="67">
        <f>D8+D19+D45+D51+D118</f>
        <v>106.1</v>
      </c>
      <c r="E142" s="6">
        <f>D142/D137*100</f>
        <v>0.14049184061525097</v>
      </c>
      <c r="F142" s="6">
        <f t="shared" si="20"/>
        <v>13.997361477572557</v>
      </c>
      <c r="G142" s="6">
        <f t="shared" si="17"/>
        <v>4.016809267812524</v>
      </c>
      <c r="H142" s="6">
        <f t="shared" si="18"/>
        <v>651.9000000000001</v>
      </c>
      <c r="I142" s="18">
        <f t="shared" si="19"/>
        <v>2535.2999999999997</v>
      </c>
      <c r="K142" s="46"/>
      <c r="L142" s="47"/>
    </row>
    <row r="143" spans="1:12" ht="19.5" thickBot="1">
      <c r="A143" s="23" t="s">
        <v>35</v>
      </c>
      <c r="B143" s="67">
        <f>B137-B138-B139-B140-B141-B142</f>
        <v>18468.99999999998</v>
      </c>
      <c r="C143" s="67">
        <f>C137-C138-C139-C140-C141-C142</f>
        <v>48133.09999999993</v>
      </c>
      <c r="D143" s="67">
        <f>D137-D138-D139-D140-D141-D142</f>
        <v>14336</v>
      </c>
      <c r="E143" s="6">
        <f>D143/D137*100</f>
        <v>18.982950302170007</v>
      </c>
      <c r="F143" s="6">
        <f t="shared" si="20"/>
        <v>77.62196112404578</v>
      </c>
      <c r="G143" s="43">
        <f t="shared" si="17"/>
        <v>29.784077900654683</v>
      </c>
      <c r="H143" s="6">
        <f t="shared" si="18"/>
        <v>4132.999999999982</v>
      </c>
      <c r="I143" s="6">
        <f t="shared" si="19"/>
        <v>33797.09999999993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2862.8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2862.8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1477.7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1477.7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119280.09999999999</v>
      </c>
      <c r="C154" s="91">
        <f>C137+C145+C149+C150+C146+C153+C152+C147+C151+C148</f>
        <v>350180.69999999995</v>
      </c>
      <c r="D154" s="91">
        <f>D137+D145+D149+D150+D146+D153+D152+D147+D151+D148</f>
        <v>75520.40000000001</v>
      </c>
      <c r="E154" s="25"/>
      <c r="F154" s="3">
        <f>D154/B154*100</f>
        <v>63.31349487466896</v>
      </c>
      <c r="G154" s="3">
        <f t="shared" si="21"/>
        <v>21.566122861711115</v>
      </c>
      <c r="H154" s="3">
        <f>B154-D154</f>
        <v>43759.69999999998</v>
      </c>
      <c r="I154" s="3">
        <f t="shared" si="22"/>
        <v>274660.29999999993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75520.40000000001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2" sqref="R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75520.40000000001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2015-01-30T11:07:32Z</cp:lastPrinted>
  <dcterms:created xsi:type="dcterms:W3CDTF">2000-06-20T04:48:00Z</dcterms:created>
  <dcterms:modified xsi:type="dcterms:W3CDTF">2015-02-18T06:14:50Z</dcterms:modified>
  <cp:category/>
  <cp:version/>
  <cp:contentType/>
  <cp:contentStatus/>
</cp:coreProperties>
</file>